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9" i="1" l="1"/>
  <c r="C74" i="1"/>
  <c r="B81" i="1"/>
  <c r="B82" i="1"/>
  <c r="B80" i="1"/>
  <c r="B83" i="1"/>
  <c r="B68" i="1"/>
  <c r="C73" i="1"/>
  <c r="B74" i="1"/>
  <c r="B73" i="1"/>
  <c r="B61" i="1"/>
  <c r="B65" i="1"/>
  <c r="B62" i="1"/>
  <c r="L47" i="1"/>
  <c r="L48" i="1"/>
  <c r="L49" i="1"/>
  <c r="L50" i="1"/>
  <c r="L51" i="1"/>
  <c r="I51" i="1"/>
  <c r="B49" i="1"/>
  <c r="B48" i="1"/>
  <c r="D47" i="1"/>
  <c r="I44" i="1"/>
  <c r="L40" i="1"/>
  <c r="L41" i="1"/>
  <c r="L42" i="1"/>
  <c r="B22" i="1"/>
  <c r="B28" i="1"/>
  <c r="B34" i="1"/>
  <c r="E21" i="1"/>
  <c r="B30" i="1"/>
  <c r="E28" i="1"/>
  <c r="E29" i="1"/>
  <c r="E24" i="1"/>
  <c r="B26" i="1"/>
  <c r="E22" i="1"/>
  <c r="E23" i="1"/>
  <c r="E25" i="1"/>
  <c r="E26" i="1"/>
  <c r="B13" i="1"/>
  <c r="E15" i="1"/>
  <c r="B17" i="1"/>
  <c r="E12" i="1"/>
  <c r="E13" i="1"/>
  <c r="E14" i="1"/>
  <c r="E16" i="1"/>
  <c r="E17" i="1"/>
  <c r="B4" i="1"/>
  <c r="E6" i="1"/>
  <c r="B8" i="1"/>
  <c r="E3" i="1"/>
  <c r="E4" i="1"/>
  <c r="E5" i="1"/>
  <c r="E7" i="1"/>
  <c r="E8" i="1"/>
</calcChain>
</file>

<file path=xl/sharedStrings.xml><?xml version="1.0" encoding="utf-8"?>
<sst xmlns="http://schemas.openxmlformats.org/spreadsheetml/2006/main" count="192" uniqueCount="110">
  <si>
    <t>Calculations</t>
  </si>
  <si>
    <t>Facility Installation Cost</t>
  </si>
  <si>
    <t>$</t>
  </si>
  <si>
    <t>E Generation</t>
  </si>
  <si>
    <t>W</t>
  </si>
  <si>
    <t>CRF</t>
  </si>
  <si>
    <t>Lifetime (n)</t>
  </si>
  <si>
    <t>yrs</t>
  </si>
  <si>
    <t>Mortgage Payment</t>
  </si>
  <si>
    <t>$/year</t>
  </si>
  <si>
    <t>Cost/watt</t>
  </si>
  <si>
    <t>$/W</t>
  </si>
  <si>
    <t>Amount of Energy Produced</t>
  </si>
  <si>
    <t>kWh/year</t>
  </si>
  <si>
    <t>Fuel</t>
  </si>
  <si>
    <t>$/kWh</t>
  </si>
  <si>
    <t>Cost of Energy Production</t>
  </si>
  <si>
    <t>We assumed a 100% Duty Cycle</t>
  </si>
  <si>
    <t>Total Operating Costs</t>
  </si>
  <si>
    <t>Buss Bar Cost</t>
  </si>
  <si>
    <t>$/kWh =</t>
  </si>
  <si>
    <t>PS#6 Question 2</t>
  </si>
  <si>
    <t>X100%</t>
  </si>
  <si>
    <t>Discount Rate r</t>
  </si>
  <si>
    <t xml:space="preserve">Part a) </t>
  </si>
  <si>
    <t>Part b)</t>
  </si>
  <si>
    <t>This change made a small difference. It increased the CRF, so we had to charge more for electricity.</t>
  </si>
  <si>
    <t>Part c)</t>
  </si>
  <si>
    <t xml:space="preserve">The major change here is the capitol cost we start with. We spread out the $3 billion over 12 years and include interest before we start generating electricity. </t>
  </si>
  <si>
    <t>I will find the debt at the beginning of the generation process in two steps: First, I already know I have to pay each year for 12 years = $3 billion / 12</t>
  </si>
  <si>
    <t>Capitol Costs</t>
  </si>
  <si>
    <t>Building period</t>
  </si>
  <si>
    <t>Yearly Payment</t>
  </si>
  <si>
    <t>Dicount rate</t>
  </si>
  <si>
    <t>PV</t>
  </si>
  <si>
    <t xml:space="preserve">So, we see that I would have to pay only $2 billion at the beginning of 12 years in order to make this $3 billion in payments over a 12 year period because the value of the money is greater in the beginning. </t>
  </si>
  <si>
    <t>However, then I have to see how much that $2 Billion debt is worth after a 12 year interest period:</t>
  </si>
  <si>
    <t>I DIVIDE my yearly payments by this CRF to find the amount of money these annual payments are worth at the beginning of the 12 year building/litigating period.</t>
  </si>
  <si>
    <t>Debt after 12 years</t>
  </si>
  <si>
    <t>The initial debt has more than doubled!</t>
  </si>
  <si>
    <t>Why did the facility installation costs more than double? Please see below how the long building time caused an increase in the debt.</t>
  </si>
  <si>
    <t>The long building time caused the LCOE to increase more than 3 cents / kWh</t>
  </si>
  <si>
    <t>Question #4</t>
  </si>
  <si>
    <t>Constants</t>
  </si>
  <si>
    <t>$ Saved/month in Winter (6 months)</t>
  </si>
  <si>
    <t>Energy Conserved/Year:</t>
  </si>
  <si>
    <t>kWh</t>
  </si>
  <si>
    <t>$ Saved/Winter</t>
  </si>
  <si>
    <t>Therms</t>
  </si>
  <si>
    <t>$/therm NG</t>
  </si>
  <si>
    <t>BTUs</t>
  </si>
  <si>
    <t>$/BTU NG</t>
  </si>
  <si>
    <t>Joules</t>
  </si>
  <si>
    <t>$/Joule NG</t>
  </si>
  <si>
    <t>Cost of Insulation</t>
  </si>
  <si>
    <t>Interest Rate</t>
  </si>
  <si>
    <t>Mortgage Payment/Year</t>
  </si>
  <si>
    <t>$/yr</t>
  </si>
  <si>
    <t>Loan Period</t>
  </si>
  <si>
    <t>years</t>
  </si>
  <si>
    <t>CCE:</t>
  </si>
  <si>
    <t>Avoided Energy Cost</t>
  </si>
  <si>
    <t>Conserved Energy</t>
  </si>
  <si>
    <t>a) It's pretty close to 8%</t>
  </si>
  <si>
    <t>b) Above is the energy NOT used, or saved energy</t>
  </si>
  <si>
    <t>NG gC/MJ</t>
  </si>
  <si>
    <t>Total kg CO2 abated/year:</t>
  </si>
  <si>
    <t>kg CO2</t>
  </si>
  <si>
    <t>NG gCO2/MJ</t>
  </si>
  <si>
    <t>MJ NG conserved/year</t>
  </si>
  <si>
    <t>c) Above is the Abated carbon, or CO2 NOT emiited</t>
  </si>
  <si>
    <t>d) The cost of concserved energy, is less than the cost of buying the energy, so this is a good economic investment!</t>
  </si>
  <si>
    <t>Mortgage-Avoided E Cost</t>
  </si>
  <si>
    <t>CAC:</t>
  </si>
  <si>
    <t>$/kg CO2</t>
  </si>
  <si>
    <t>Carbon Abated</t>
  </si>
  <si>
    <t>This is the big difference between CCE and CAC - From the mortgage payments, we need to subtract the money we save with the investment to see how much this investment costs us.</t>
  </si>
  <si>
    <t>$/Ton CO2</t>
  </si>
  <si>
    <t xml:space="preserve">e) So even with the energy savings, this investment costs me more than it saves, so there is a POSITIVE cost of abated carbon. </t>
  </si>
  <si>
    <t>f) So in order to make this investment financially advisable, we'd need to have a carbon tax of more than $51/ton (CO2).</t>
  </si>
  <si>
    <t xml:space="preserve">g) YES! My house is cooler in the summer - something I hadn't thought about. This is very nice. </t>
  </si>
  <si>
    <t>I'm also thinking about insulating my floors. However, this would make the house warmer in the summer, so there is less added value.</t>
  </si>
  <si>
    <t>Question #5</t>
  </si>
  <si>
    <t>The first step is to figure out what the growth rate is in total installed capacity</t>
  </si>
  <si>
    <t>year</t>
  </si>
  <si>
    <t>Global Capacity (GW)</t>
  </si>
  <si>
    <t>Number of years</t>
  </si>
  <si>
    <t>Factor increase</t>
  </si>
  <si>
    <t>I'll do this backwards algebra wise, and just try numbers until I get about a factor of 7.2 over 5 years</t>
  </si>
  <si>
    <t>% increase</t>
  </si>
  <si>
    <t>Factor increase in 5 years</t>
  </si>
  <si>
    <t>I find that we get about a 48% growth in global capacity each year!</t>
  </si>
  <si>
    <t>2030 is 16 years in the future, so we'd expect our capacity to be:</t>
  </si>
  <si>
    <t>About 14 TW, hopefully, with a 25% duty cycle, this will provide global electrical needs,</t>
  </si>
  <si>
    <t>Costs of PV scale like the total capacity to the - 1/3 power, remember from the video</t>
  </si>
  <si>
    <t>cost of PV $/W</t>
  </si>
  <si>
    <t>Installed $/W</t>
  </si>
  <si>
    <t>6 cents a Watt to buy the panels, 50 cents a Watt to install</t>
  </si>
  <si>
    <t>11 cents a Watt to buy the panels, 95 cents a Watt to install</t>
  </si>
  <si>
    <t>Question #3 - Please play around with the Excel Model, and ask me some questions if you don't understand.</t>
  </si>
  <si>
    <t>About 100 TW!!! POOP! That's more electricity than we'll (hopefully) need!</t>
  </si>
  <si>
    <t>So what is the LCOE at 2025 prices?</t>
  </si>
  <si>
    <t>CRF ~</t>
  </si>
  <si>
    <t>Duty Cycle</t>
  </si>
  <si>
    <t>Power (kW)</t>
  </si>
  <si>
    <t>Energy for a year (KWh)</t>
  </si>
  <si>
    <t>Capital Cost ($)</t>
  </si>
  <si>
    <t>Mortgage $/yr</t>
  </si>
  <si>
    <t>LCOE ($/kWh)</t>
  </si>
  <si>
    <t>3.5 cents per kWh!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</si>
</sst>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1" fontId="2" fillId="0" borderId="0" xfId="0" applyNumberFormat="1" applyFont="1"/>
    <xf numFmtId="11" fontId="0" fillId="0" borderId="0" xfId="0" applyNumberFormat="1"/>
    <xf numFmtId="0" fontId="1" fillId="0" borderId="0" xfId="0" applyFont="1"/>
    <xf numFmtId="0" fontId="0" fillId="2" borderId="1" xfId="0" applyFill="1" applyBorder="1"/>
    <xf numFmtId="11" fontId="0" fillId="2" borderId="2" xfId="0" applyNumberFormat="1" applyFill="1" applyBorder="1"/>
    <xf numFmtId="0" fontId="0" fillId="2" borderId="3" xfId="0" applyFill="1" applyBorder="1"/>
    <xf numFmtId="0" fontId="2" fillId="3" borderId="4" xfId="0" applyFont="1" applyFill="1" applyBorder="1"/>
    <xf numFmtId="11" fontId="2" fillId="3" borderId="5" xfId="0" applyNumberFormat="1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11" fontId="2" fillId="3" borderId="0" xfId="0" applyNumberFormat="1" applyFont="1" applyFill="1"/>
    <xf numFmtId="0" fontId="2" fillId="3" borderId="8" xfId="0" applyFont="1" applyFill="1" applyBorder="1"/>
    <xf numFmtId="0" fontId="2" fillId="0" borderId="0" xfId="0" applyNumberFormat="1" applyFont="1"/>
    <xf numFmtId="0" fontId="2" fillId="3" borderId="9" xfId="0" applyFont="1" applyFill="1" applyBorder="1"/>
    <xf numFmtId="11" fontId="2" fillId="3" borderId="10" xfId="0" applyNumberFormat="1" applyFont="1" applyFill="1" applyBorder="1"/>
    <xf numFmtId="0" fontId="2" fillId="3" borderId="11" xfId="0" applyFont="1" applyFill="1" applyBorder="1"/>
    <xf numFmtId="164" fontId="0" fillId="2" borderId="2" xfId="0" applyNumberFormat="1" applyFill="1" applyBorder="1"/>
    <xf numFmtId="1" fontId="0" fillId="2" borderId="2" xfId="0" applyNumberFormat="1" applyFill="1" applyBorder="1"/>
    <xf numFmtId="2" fontId="0" fillId="0" borderId="0" xfId="0" applyNumberFormat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655262</xdr:colOff>
      <xdr:row>54</xdr:row>
      <xdr:rowOff>165100</xdr:rowOff>
    </xdr:from>
    <xdr:to>
      <xdr:col>12</xdr:col>
      <xdr:colOff>546099</xdr:colOff>
      <xdr:row>76</xdr:row>
      <xdr:rowOff>165100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3162" y="10642600"/>
          <a:ext cx="4018337" cy="419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49" workbookViewId="0">
      <selection activeCell="F85" sqref="F85"/>
    </sheetView>
  </sheetViews>
  <sheetFormatPr baseColWidth="10" defaultRowHeight="15" x14ac:dyDescent="0"/>
  <cols>
    <col min="1" max="1" width="14.5" customWidth="1"/>
  </cols>
  <sheetData>
    <row r="1" spans="1:7">
      <c r="A1" s="24" t="s">
        <v>21</v>
      </c>
      <c r="B1" s="24"/>
      <c r="C1" s="24"/>
    </row>
    <row r="2" spans="1:7">
      <c r="A2" t="s">
        <v>24</v>
      </c>
      <c r="D2" s="23"/>
      <c r="E2" s="23"/>
      <c r="F2" s="23"/>
    </row>
    <row r="3" spans="1:7">
      <c r="A3" s="1" t="s">
        <v>23</v>
      </c>
      <c r="B3" s="2">
        <v>7.0000000000000007E-2</v>
      </c>
      <c r="C3" t="s">
        <v>22</v>
      </c>
      <c r="D3" t="s">
        <v>1</v>
      </c>
      <c r="E3" s="3">
        <f>B4*B6</f>
        <v>3000000000</v>
      </c>
      <c r="F3" t="s">
        <v>2</v>
      </c>
    </row>
    <row r="4" spans="1:7">
      <c r="A4" t="s">
        <v>3</v>
      </c>
      <c r="B4" s="3">
        <f>1*10^9</f>
        <v>1000000000</v>
      </c>
      <c r="C4" t="s">
        <v>4</v>
      </c>
      <c r="D4" t="s">
        <v>5</v>
      </c>
      <c r="E4" s="3">
        <f>B3/(1-(1+B3)^-B5)</f>
        <v>7.5009138873610326E-2</v>
      </c>
    </row>
    <row r="5" spans="1:7">
      <c r="A5" t="s">
        <v>6</v>
      </c>
      <c r="B5" s="3">
        <v>40</v>
      </c>
      <c r="C5" t="s">
        <v>7</v>
      </c>
      <c r="D5" t="s">
        <v>8</v>
      </c>
      <c r="E5" s="3">
        <f>E3*E4</f>
        <v>225027416.62083098</v>
      </c>
      <c r="F5" t="s">
        <v>9</v>
      </c>
    </row>
    <row r="6" spans="1:7">
      <c r="A6" t="s">
        <v>10</v>
      </c>
      <c r="B6" s="3">
        <v>3</v>
      </c>
      <c r="C6" t="s">
        <v>11</v>
      </c>
      <c r="D6" t="s">
        <v>12</v>
      </c>
      <c r="E6" s="3">
        <f>((365*24*60*60)*B4)/(3.6*10^6)</f>
        <v>8760000000</v>
      </c>
      <c r="F6" t="s">
        <v>13</v>
      </c>
      <c r="G6" s="4" t="s">
        <v>17</v>
      </c>
    </row>
    <row r="7" spans="1:7" ht="16" thickBot="1">
      <c r="A7" t="s">
        <v>14</v>
      </c>
      <c r="B7" s="3">
        <v>6.3499999999999997E-3</v>
      </c>
      <c r="C7" t="s">
        <v>15</v>
      </c>
      <c r="D7" t="s">
        <v>16</v>
      </c>
      <c r="E7" s="3">
        <f>E6*B8+E5</f>
        <v>447531416.62083101</v>
      </c>
      <c r="F7" t="s">
        <v>9</v>
      </c>
      <c r="G7" s="4"/>
    </row>
    <row r="8" spans="1:7" ht="16" thickBot="1">
      <c r="A8" t="s">
        <v>18</v>
      </c>
      <c r="B8" s="3">
        <f>4*B7</f>
        <v>2.5399999999999999E-2</v>
      </c>
      <c r="C8" t="s">
        <v>15</v>
      </c>
      <c r="D8" s="5" t="s">
        <v>19</v>
      </c>
      <c r="E8" s="6">
        <f>E7/E6</f>
        <v>5.108806125808573E-2</v>
      </c>
      <c r="F8" s="7" t="s">
        <v>20</v>
      </c>
      <c r="G8" s="3"/>
    </row>
    <row r="11" spans="1:7">
      <c r="A11" t="s">
        <v>25</v>
      </c>
      <c r="B11" s="4" t="s">
        <v>26</v>
      </c>
    </row>
    <row r="12" spans="1:7">
      <c r="A12" s="1" t="s">
        <v>23</v>
      </c>
      <c r="B12" s="2">
        <v>7.0000000000000007E-2</v>
      </c>
      <c r="C12" t="s">
        <v>22</v>
      </c>
      <c r="D12" t="s">
        <v>1</v>
      </c>
      <c r="E12" s="3">
        <f>B13*B15</f>
        <v>3000000000</v>
      </c>
      <c r="F12" t="s">
        <v>2</v>
      </c>
    </row>
    <row r="13" spans="1:7">
      <c r="A13" t="s">
        <v>3</v>
      </c>
      <c r="B13" s="3">
        <f>1*10^9</f>
        <v>1000000000</v>
      </c>
      <c r="C13" t="s">
        <v>4</v>
      </c>
      <c r="D13" t="s">
        <v>5</v>
      </c>
      <c r="E13" s="3">
        <f>B12/(1-(1+B12)^-B14)</f>
        <v>9.4392925743255696E-2</v>
      </c>
    </row>
    <row r="14" spans="1:7">
      <c r="A14" t="s">
        <v>6</v>
      </c>
      <c r="B14" s="3">
        <v>20</v>
      </c>
      <c r="C14" t="s">
        <v>7</v>
      </c>
      <c r="D14" t="s">
        <v>8</v>
      </c>
      <c r="E14" s="3">
        <f>E12*E13</f>
        <v>283178777.22976708</v>
      </c>
      <c r="F14" t="s">
        <v>9</v>
      </c>
    </row>
    <row r="15" spans="1:7">
      <c r="A15" t="s">
        <v>10</v>
      </c>
      <c r="B15" s="3">
        <v>3</v>
      </c>
      <c r="C15" t="s">
        <v>11</v>
      </c>
      <c r="D15" t="s">
        <v>12</v>
      </c>
      <c r="E15" s="3">
        <f>((365*24*60*60)*B13)/(3.6*10^6)</f>
        <v>8760000000</v>
      </c>
      <c r="F15" t="s">
        <v>13</v>
      </c>
      <c r="G15" s="4"/>
    </row>
    <row r="16" spans="1:7" ht="16" thickBot="1">
      <c r="A16" t="s">
        <v>14</v>
      </c>
      <c r="B16" s="3">
        <v>6.3499999999999997E-3</v>
      </c>
      <c r="C16" t="s">
        <v>15</v>
      </c>
      <c r="D16" t="s">
        <v>16</v>
      </c>
      <c r="E16" s="3">
        <f>E15*B17+E14</f>
        <v>505682777.22976708</v>
      </c>
      <c r="F16" t="s">
        <v>9</v>
      </c>
    </row>
    <row r="17" spans="1:7" ht="16" thickBot="1">
      <c r="A17" t="s">
        <v>18</v>
      </c>
      <c r="B17" s="3">
        <f>4*B16</f>
        <v>2.5399999999999999E-2</v>
      </c>
      <c r="C17" t="s">
        <v>15</v>
      </c>
      <c r="D17" s="5" t="s">
        <v>19</v>
      </c>
      <c r="E17" s="6">
        <f>E16/E15</f>
        <v>5.7726344432621812E-2</v>
      </c>
      <c r="F17" s="7" t="s">
        <v>20</v>
      </c>
    </row>
    <row r="18" spans="1:7">
      <c r="A18" s="4"/>
    </row>
    <row r="20" spans="1:7">
      <c r="A20" t="s">
        <v>27</v>
      </c>
      <c r="B20" s="4" t="s">
        <v>28</v>
      </c>
    </row>
    <row r="21" spans="1:7">
      <c r="A21" s="1" t="s">
        <v>23</v>
      </c>
      <c r="B21" s="2">
        <v>7.0000000000000007E-2</v>
      </c>
      <c r="C21" t="s">
        <v>22</v>
      </c>
      <c r="D21" t="s">
        <v>1</v>
      </c>
      <c r="E21" s="3">
        <f>B34</f>
        <v>6756574766.8824701</v>
      </c>
      <c r="F21" t="s">
        <v>2</v>
      </c>
      <c r="G21" s="4" t="s">
        <v>40</v>
      </c>
    </row>
    <row r="22" spans="1:7">
      <c r="A22" t="s">
        <v>3</v>
      </c>
      <c r="B22" s="3">
        <f>1*10^9</f>
        <v>1000000000</v>
      </c>
      <c r="C22" t="s">
        <v>4</v>
      </c>
      <c r="D22" t="s">
        <v>5</v>
      </c>
      <c r="E22" s="3">
        <f>B21/(1-(1+B21)^-B23)</f>
        <v>7.5009138873610326E-2</v>
      </c>
    </row>
    <row r="23" spans="1:7">
      <c r="A23" t="s">
        <v>6</v>
      </c>
      <c r="B23" s="3">
        <v>40</v>
      </c>
      <c r="C23" t="s">
        <v>7</v>
      </c>
      <c r="D23" t="s">
        <v>8</v>
      </c>
      <c r="E23" s="3">
        <f>E21*E22</f>
        <v>506804854.99901849</v>
      </c>
      <c r="F23" t="s">
        <v>9</v>
      </c>
    </row>
    <row r="24" spans="1:7">
      <c r="A24" t="s">
        <v>10</v>
      </c>
      <c r="B24" s="3">
        <v>3</v>
      </c>
      <c r="C24" t="s">
        <v>11</v>
      </c>
      <c r="D24" t="s">
        <v>12</v>
      </c>
      <c r="E24" s="3">
        <f>((365*24*60*60)*B22)/(3.6*10^6)</f>
        <v>8760000000</v>
      </c>
      <c r="F24" t="s">
        <v>13</v>
      </c>
      <c r="G24" s="4"/>
    </row>
    <row r="25" spans="1:7" ht="16" thickBot="1">
      <c r="A25" t="s">
        <v>14</v>
      </c>
      <c r="B25" s="3">
        <v>6.3499999999999997E-3</v>
      </c>
      <c r="C25" t="s">
        <v>15</v>
      </c>
      <c r="D25" t="s">
        <v>16</v>
      </c>
      <c r="E25" s="3">
        <f>E24*B26+E23</f>
        <v>729308854.99901843</v>
      </c>
      <c r="F25" t="s">
        <v>9</v>
      </c>
    </row>
    <row r="26" spans="1:7" ht="16" thickBot="1">
      <c r="A26" t="s">
        <v>18</v>
      </c>
      <c r="B26" s="3">
        <f>4*B25</f>
        <v>2.5399999999999999E-2</v>
      </c>
      <c r="C26" t="s">
        <v>15</v>
      </c>
      <c r="D26" s="5" t="s">
        <v>19</v>
      </c>
      <c r="E26" s="6">
        <f>E25/E24</f>
        <v>8.3254435502171056E-2</v>
      </c>
      <c r="F26" s="7" t="s">
        <v>20</v>
      </c>
      <c r="G26" s="4" t="s">
        <v>41</v>
      </c>
    </row>
    <row r="27" spans="1:7">
      <c r="A27" s="4" t="s">
        <v>29</v>
      </c>
    </row>
    <row r="28" spans="1:7">
      <c r="A28" t="s">
        <v>30</v>
      </c>
      <c r="B28" s="3">
        <f>B22*B24</f>
        <v>3000000000</v>
      </c>
      <c r="C28" t="s">
        <v>2</v>
      </c>
      <c r="D28" t="s">
        <v>5</v>
      </c>
      <c r="E28" s="3">
        <f>B31/(1-(1+B31)^-B29)</f>
        <v>0.12590198865502045</v>
      </c>
    </row>
    <row r="29" spans="1:7">
      <c r="A29" t="s">
        <v>31</v>
      </c>
      <c r="B29">
        <v>12</v>
      </c>
      <c r="C29" t="s">
        <v>7</v>
      </c>
      <c r="D29" t="s">
        <v>34</v>
      </c>
      <c r="E29" s="3">
        <f>B30/E28</f>
        <v>1985671574.1402314</v>
      </c>
      <c r="F29" s="4" t="s">
        <v>37</v>
      </c>
    </row>
    <row r="30" spans="1:7">
      <c r="A30" t="s">
        <v>32</v>
      </c>
      <c r="B30" s="3">
        <f>B28/12</f>
        <v>250000000</v>
      </c>
      <c r="C30" t="s">
        <v>9</v>
      </c>
    </row>
    <row r="31" spans="1:7">
      <c r="A31" t="s">
        <v>33</v>
      </c>
      <c r="B31" s="2">
        <v>7.0000000000000007E-2</v>
      </c>
      <c r="C31" t="s">
        <v>22</v>
      </c>
    </row>
    <row r="32" spans="1:7">
      <c r="A32" s="4" t="s">
        <v>35</v>
      </c>
    </row>
    <row r="33" spans="1:14">
      <c r="A33" s="4" t="s">
        <v>36</v>
      </c>
    </row>
    <row r="34" spans="1:14">
      <c r="A34" t="s">
        <v>38</v>
      </c>
      <c r="B34" s="3">
        <f>B28*(1+B31)^B29</f>
        <v>6756574766.8824701</v>
      </c>
      <c r="C34" s="4" t="s">
        <v>39</v>
      </c>
    </row>
    <row r="35" spans="1:14">
      <c r="B35" s="3"/>
      <c r="C35" s="4"/>
    </row>
    <row r="36" spans="1:14">
      <c r="A36" t="s">
        <v>99</v>
      </c>
      <c r="B36" s="3"/>
      <c r="C36" s="4"/>
    </row>
    <row r="38" spans="1:14">
      <c r="A38" t="s">
        <v>42</v>
      </c>
    </row>
    <row r="39" spans="1:14" ht="16" thickBot="1">
      <c r="A39" s="25" t="s">
        <v>43</v>
      </c>
      <c r="B39" s="25"/>
      <c r="C39" s="25"/>
      <c r="D39" s="26" t="s">
        <v>0</v>
      </c>
      <c r="E39" s="26"/>
      <c r="F39" s="26"/>
      <c r="H39" s="23" t="s">
        <v>43</v>
      </c>
      <c r="I39" s="23"/>
      <c r="J39" s="23"/>
      <c r="K39" s="23" t="s">
        <v>0</v>
      </c>
      <c r="L39" s="23"/>
      <c r="M39" s="23"/>
    </row>
    <row r="40" spans="1:14">
      <c r="A40" s="1" t="s">
        <v>44</v>
      </c>
      <c r="B40" s="1">
        <v>20</v>
      </c>
      <c r="C40" s="1" t="s">
        <v>2</v>
      </c>
      <c r="D40" s="8" t="s">
        <v>45</v>
      </c>
      <c r="E40" s="9">
        <v>4440</v>
      </c>
      <c r="F40" s="10" t="s">
        <v>46</v>
      </c>
      <c r="H40" t="s">
        <v>54</v>
      </c>
      <c r="I40">
        <v>2050</v>
      </c>
      <c r="J40" t="s">
        <v>2</v>
      </c>
      <c r="K40" t="s">
        <v>5</v>
      </c>
      <c r="L40">
        <f>I41/(1-(1+I41)^-I42)</f>
        <v>8.0586403511111196E-2</v>
      </c>
      <c r="M40" s="4" t="s">
        <v>63</v>
      </c>
    </row>
    <row r="41" spans="1:14" ht="16" thickBot="1">
      <c r="A41" s="1" t="s">
        <v>47</v>
      </c>
      <c r="B41" s="1">
        <v>120</v>
      </c>
      <c r="C41" s="1" t="s">
        <v>2</v>
      </c>
      <c r="D41" s="11"/>
      <c r="E41" s="12">
        <v>151</v>
      </c>
      <c r="F41" s="13" t="s">
        <v>48</v>
      </c>
      <c r="H41" t="s">
        <v>55</v>
      </c>
      <c r="I41">
        <v>7.0000000000000007E-2</v>
      </c>
      <c r="K41" t="s">
        <v>56</v>
      </c>
      <c r="L41">
        <f>L40*I40</f>
        <v>165.20212719777794</v>
      </c>
      <c r="M41" t="s">
        <v>57</v>
      </c>
    </row>
    <row r="42" spans="1:14" ht="16" thickBot="1">
      <c r="A42" s="1" t="s">
        <v>49</v>
      </c>
      <c r="B42" s="1">
        <v>0.79237999999999997</v>
      </c>
      <c r="C42" s="1"/>
      <c r="D42" s="11"/>
      <c r="E42" s="12">
        <v>15100000</v>
      </c>
      <c r="F42" s="13" t="s">
        <v>50</v>
      </c>
      <c r="H42" t="s">
        <v>58</v>
      </c>
      <c r="I42">
        <v>30</v>
      </c>
      <c r="J42" t="s">
        <v>59</v>
      </c>
      <c r="K42" s="5" t="s">
        <v>60</v>
      </c>
      <c r="L42" s="18">
        <f>L41/I44</f>
        <v>3.7207686305805843E-2</v>
      </c>
      <c r="M42" s="7" t="s">
        <v>15</v>
      </c>
      <c r="N42" s="4" t="s">
        <v>71</v>
      </c>
    </row>
    <row r="43" spans="1:14" ht="16" thickBot="1">
      <c r="A43" s="1" t="s">
        <v>51</v>
      </c>
      <c r="B43" s="14">
        <v>7.9238000000000003E-6</v>
      </c>
      <c r="C43" s="1"/>
      <c r="D43" s="15"/>
      <c r="E43" s="16">
        <v>16000000000</v>
      </c>
      <c r="F43" s="17" t="s">
        <v>52</v>
      </c>
      <c r="H43" t="s">
        <v>61</v>
      </c>
      <c r="I43">
        <v>120</v>
      </c>
      <c r="J43" t="s">
        <v>57</v>
      </c>
    </row>
    <row r="44" spans="1:14">
      <c r="A44" s="1" t="s">
        <v>53</v>
      </c>
      <c r="B44" s="14">
        <v>7.5107100000000004E-9</v>
      </c>
      <c r="C44" s="1"/>
      <c r="D44" s="4" t="s">
        <v>64</v>
      </c>
      <c r="E44" s="1"/>
      <c r="F44" s="1"/>
      <c r="H44" t="s">
        <v>62</v>
      </c>
      <c r="I44" s="3">
        <f>E40</f>
        <v>4440</v>
      </c>
      <c r="J44" t="s">
        <v>46</v>
      </c>
    </row>
    <row r="46" spans="1:14" ht="16" thickBot="1">
      <c r="A46" s="23" t="s">
        <v>43</v>
      </c>
      <c r="B46" s="23"/>
      <c r="C46" s="23" t="s">
        <v>0</v>
      </c>
      <c r="D46" s="23"/>
      <c r="E46" s="23"/>
      <c r="H46" s="23" t="s">
        <v>43</v>
      </c>
      <c r="I46" s="23"/>
      <c r="J46" s="23"/>
      <c r="K46" s="23" t="s">
        <v>0</v>
      </c>
      <c r="L46" s="23"/>
      <c r="M46" s="23"/>
    </row>
    <row r="47" spans="1:14" ht="16" thickBot="1">
      <c r="A47" t="s">
        <v>65</v>
      </c>
      <c r="B47">
        <v>15</v>
      </c>
      <c r="C47" s="5" t="s">
        <v>66</v>
      </c>
      <c r="D47" s="19">
        <f>(B48*B49)/1000</f>
        <v>880</v>
      </c>
      <c r="E47" s="7" t="s">
        <v>67</v>
      </c>
      <c r="H47" t="s">
        <v>54</v>
      </c>
      <c r="I47">
        <v>2050</v>
      </c>
      <c r="J47" t="s">
        <v>2</v>
      </c>
      <c r="K47" t="s">
        <v>5</v>
      </c>
      <c r="L47">
        <f>I48/(1-(1+I48)^-I49)</f>
        <v>8.0586403511111196E-2</v>
      </c>
    </row>
    <row r="48" spans="1:14">
      <c r="A48" t="s">
        <v>68</v>
      </c>
      <c r="B48">
        <f>B47*(44/12)</f>
        <v>55</v>
      </c>
      <c r="D48" s="4" t="s">
        <v>70</v>
      </c>
      <c r="H48" t="s">
        <v>55</v>
      </c>
      <c r="I48">
        <v>7.0000000000000007E-2</v>
      </c>
      <c r="K48" t="s">
        <v>56</v>
      </c>
      <c r="L48">
        <f>L47*I47</f>
        <v>165.20212719777794</v>
      </c>
      <c r="M48" t="s">
        <v>57</v>
      </c>
    </row>
    <row r="49" spans="1:14" ht="16" thickBot="1">
      <c r="A49" t="s">
        <v>69</v>
      </c>
      <c r="B49" s="20">
        <f>E43/1000000</f>
        <v>16000</v>
      </c>
      <c r="H49" t="s">
        <v>58</v>
      </c>
      <c r="I49">
        <v>30</v>
      </c>
      <c r="J49" t="s">
        <v>59</v>
      </c>
      <c r="K49" t="s">
        <v>72</v>
      </c>
      <c r="L49">
        <f>L48-I50</f>
        <v>45.202127197777941</v>
      </c>
      <c r="M49" t="s">
        <v>57</v>
      </c>
      <c r="N49" s="4" t="s">
        <v>76</v>
      </c>
    </row>
    <row r="50" spans="1:14" ht="16" thickBot="1">
      <c r="H50" t="s">
        <v>61</v>
      </c>
      <c r="I50">
        <v>120</v>
      </c>
      <c r="J50" t="s">
        <v>57</v>
      </c>
      <c r="K50" s="5" t="s">
        <v>73</v>
      </c>
      <c r="L50" s="18">
        <f>L49/I52</f>
        <v>5.1424490554923707E-2</v>
      </c>
      <c r="M50" s="7" t="s">
        <v>74</v>
      </c>
      <c r="N50" s="4" t="s">
        <v>78</v>
      </c>
    </row>
    <row r="51" spans="1:14" ht="16" thickBot="1">
      <c r="H51" t="s">
        <v>62</v>
      </c>
      <c r="I51" s="3">
        <f>E40</f>
        <v>4440</v>
      </c>
      <c r="J51" t="s">
        <v>46</v>
      </c>
      <c r="K51" s="5" t="s">
        <v>73</v>
      </c>
      <c r="L51" s="18">
        <f>L50*1000</f>
        <v>51.424490554923707</v>
      </c>
      <c r="M51" s="7" t="s">
        <v>77</v>
      </c>
      <c r="N51" s="4" t="s">
        <v>79</v>
      </c>
    </row>
    <row r="52" spans="1:14">
      <c r="H52" t="s">
        <v>75</v>
      </c>
      <c r="I52">
        <v>879</v>
      </c>
      <c r="J52" t="s">
        <v>67</v>
      </c>
      <c r="K52" s="4" t="s">
        <v>80</v>
      </c>
    </row>
    <row r="53" spans="1:14">
      <c r="K53" s="4" t="s">
        <v>81</v>
      </c>
    </row>
    <row r="55" spans="1:14">
      <c r="A55" t="s">
        <v>82</v>
      </c>
    </row>
    <row r="56" spans="1:14">
      <c r="A56" s="4" t="s">
        <v>83</v>
      </c>
    </row>
    <row r="57" spans="1:14">
      <c r="A57" t="s">
        <v>84</v>
      </c>
      <c r="B57" t="s">
        <v>85</v>
      </c>
    </row>
    <row r="58" spans="1:14">
      <c r="A58">
        <v>2009</v>
      </c>
      <c r="B58" s="21">
        <v>25</v>
      </c>
    </row>
    <row r="59" spans="1:14">
      <c r="A59">
        <v>2014</v>
      </c>
      <c r="B59">
        <v>180</v>
      </c>
    </row>
    <row r="61" spans="1:14">
      <c r="A61" t="s">
        <v>86</v>
      </c>
      <c r="B61">
        <f>A59-A58</f>
        <v>5</v>
      </c>
    </row>
    <row r="62" spans="1:14">
      <c r="A62" t="s">
        <v>87</v>
      </c>
      <c r="B62">
        <f>B59/B58</f>
        <v>7.2</v>
      </c>
    </row>
    <row r="63" spans="1:14">
      <c r="A63" s="4" t="s">
        <v>88</v>
      </c>
    </row>
    <row r="64" spans="1:14">
      <c r="A64" t="s">
        <v>89</v>
      </c>
      <c r="B64">
        <v>48</v>
      </c>
    </row>
    <row r="65" spans="1:4">
      <c r="A65" t="s">
        <v>90</v>
      </c>
      <c r="B65">
        <f>(1+B64/100)^B61</f>
        <v>7.1008211967999992</v>
      </c>
    </row>
    <row r="66" spans="1:4">
      <c r="A66" s="4" t="s">
        <v>91</v>
      </c>
    </row>
    <row r="67" spans="1:4">
      <c r="A67" s="4" t="s">
        <v>92</v>
      </c>
    </row>
    <row r="68" spans="1:4">
      <c r="A68">
        <v>2030</v>
      </c>
      <c r="B68">
        <f>B59*(1+B64/100)^(A68-A59)</f>
        <v>95380.578334031539</v>
      </c>
      <c r="C68" s="4" t="s">
        <v>100</v>
      </c>
    </row>
    <row r="69" spans="1:4">
      <c r="A69">
        <v>2025</v>
      </c>
      <c r="B69">
        <f>B59*(1+B64/100)^(A69-A59)</f>
        <v>13432.3306686014</v>
      </c>
      <c r="C69" s="4" t="s">
        <v>93</v>
      </c>
    </row>
    <row r="70" spans="1:4">
      <c r="A70" s="4" t="s">
        <v>94</v>
      </c>
    </row>
    <row r="71" spans="1:4">
      <c r="A71" t="s">
        <v>84</v>
      </c>
      <c r="B71" t="s">
        <v>95</v>
      </c>
      <c r="C71" t="s">
        <v>96</v>
      </c>
    </row>
    <row r="72" spans="1:4">
      <c r="A72">
        <v>2014</v>
      </c>
      <c r="B72">
        <v>0.5</v>
      </c>
      <c r="C72">
        <v>4</v>
      </c>
    </row>
    <row r="73" spans="1:4">
      <c r="A73">
        <v>2030</v>
      </c>
      <c r="B73">
        <f>B72/(B68/B59)^(1/3)</f>
        <v>6.1788481501223111E-2</v>
      </c>
      <c r="C73">
        <f>C72/(B68/B59)^(1/3)</f>
        <v>0.49430785200978489</v>
      </c>
      <c r="D73" s="4" t="s">
        <v>97</v>
      </c>
    </row>
    <row r="74" spans="1:4">
      <c r="A74">
        <v>2025</v>
      </c>
      <c r="B74">
        <f>B72/(B69/B59)^(1/3)</f>
        <v>0.11876187563280537</v>
      </c>
      <c r="C74">
        <f>C72/(B69/B59)^(1/3)</f>
        <v>0.95009500506244293</v>
      </c>
      <c r="D74" s="4" t="s">
        <v>98</v>
      </c>
    </row>
    <row r="76" spans="1:4">
      <c r="A76" t="s">
        <v>101</v>
      </c>
    </row>
    <row r="77" spans="1:4">
      <c r="A77" t="s">
        <v>102</v>
      </c>
      <c r="B77" s="22">
        <v>0.08</v>
      </c>
    </row>
    <row r="78" spans="1:4">
      <c r="A78" t="s">
        <v>103</v>
      </c>
      <c r="B78" s="22">
        <v>0.25</v>
      </c>
    </row>
    <row r="79" spans="1:4">
      <c r="A79" t="s">
        <v>104</v>
      </c>
      <c r="B79">
        <v>10</v>
      </c>
    </row>
    <row r="80" spans="1:4">
      <c r="A80" t="s">
        <v>105</v>
      </c>
      <c r="B80">
        <f>B79*B78*8760</f>
        <v>21900</v>
      </c>
    </row>
    <row r="81" spans="1:3">
      <c r="A81" t="s">
        <v>106</v>
      </c>
      <c r="B81">
        <f>B79*C74*1000</f>
        <v>9500.9500506244294</v>
      </c>
    </row>
    <row r="82" spans="1:3">
      <c r="A82" t="s">
        <v>107</v>
      </c>
      <c r="B82">
        <f>B81*B77</f>
        <v>760.07600404995435</v>
      </c>
    </row>
    <row r="83" spans="1:3">
      <c r="A83" t="s">
        <v>108</v>
      </c>
      <c r="B83">
        <f>B82/B80</f>
        <v>3.4706666851596089E-2</v>
      </c>
      <c r="C83" s="4" t="s">
        <v>109</v>
      </c>
    </row>
  </sheetData>
  <mergeCells count="10">
    <mergeCell ref="A46:B46"/>
    <mergeCell ref="C46:E46"/>
    <mergeCell ref="H46:J46"/>
    <mergeCell ref="K46:M46"/>
    <mergeCell ref="A1:C1"/>
    <mergeCell ref="D2:F2"/>
    <mergeCell ref="A39:C39"/>
    <mergeCell ref="D39:F39"/>
    <mergeCell ref="H39:J39"/>
    <mergeCell ref="K39:M3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Californai Polytechnic Stat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 Poly FWP</dc:creator>
  <cp:lastModifiedBy>Cal Poly FWP</cp:lastModifiedBy>
  <dcterms:created xsi:type="dcterms:W3CDTF">2015-06-02T22:25:49Z</dcterms:created>
  <dcterms:modified xsi:type="dcterms:W3CDTF">2015-06-03T21:32:24Z</dcterms:modified>
</cp:coreProperties>
</file>